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0" windowWidth="10425" windowHeight="11640" activeTab="0"/>
  </bookViews>
  <sheets>
    <sheet name="Mix Design Sheet" sheetId="1" r:id="rId1"/>
    <sheet name="For Access" sheetId="2" state="hidden" r:id="rId2"/>
  </sheets>
  <definedNames>
    <definedName name="_xlnm.Print_Area" localSheetId="0">'Mix Design Sheet'!$A$1:$L$64</definedName>
  </definedNames>
  <calcPr fullCalcOnLoad="1"/>
</workbook>
</file>

<file path=xl/comments1.xml><?xml version="1.0" encoding="utf-8"?>
<comments xmlns="http://schemas.openxmlformats.org/spreadsheetml/2006/main">
  <authors>
    <author>jomiller</author>
  </authors>
  <commentList>
    <comment ref="H8" authorId="0">
      <text>
        <r>
          <rPr>
            <sz val="8"/>
            <rFont val="Tahoma"/>
            <family val="2"/>
          </rPr>
          <t xml:space="preserve">Input specific gravity for each material.
</t>
        </r>
      </text>
    </comment>
    <comment ref="A10" authorId="0">
      <text>
        <r>
          <rPr>
            <sz val="8"/>
            <rFont val="Tahoma"/>
            <family val="2"/>
          </rPr>
          <t xml:space="preserve">Select Slag or Fly Ash
</t>
        </r>
      </text>
    </comment>
    <comment ref="I15" authorId="0">
      <text>
        <r>
          <rPr>
            <b/>
            <sz val="8"/>
            <rFont val="Tahoma"/>
            <family val="2"/>
          </rPr>
          <t>For admixtures used in all concrete input the dosage used for the mix design and the allowable range in the format: dosage(range)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>If using 4 in diameter cylinders use additional gray blanks below.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<sst xmlns="http://schemas.openxmlformats.org/spreadsheetml/2006/main" count="192" uniqueCount="142">
  <si>
    <t>Date</t>
  </si>
  <si>
    <t>Supplier Name</t>
  </si>
  <si>
    <t>Quantity</t>
  </si>
  <si>
    <t>lbs</t>
  </si>
  <si>
    <t>gal</t>
  </si>
  <si>
    <t>Admixtures</t>
  </si>
  <si>
    <t>oz/cwt</t>
  </si>
  <si>
    <t>Slump</t>
  </si>
  <si>
    <t>Design Air</t>
  </si>
  <si>
    <t>Unit Weight (@ design air content)</t>
  </si>
  <si>
    <t>Water/cementious Ratio</t>
  </si>
  <si>
    <t>Design Strength</t>
  </si>
  <si>
    <t>pcf</t>
  </si>
  <si>
    <t>%</t>
  </si>
  <si>
    <t>Avg.</t>
  </si>
  <si>
    <t>OR</t>
  </si>
  <si>
    <t>Number of Cylinders</t>
  </si>
  <si>
    <t>Std. Deviation</t>
  </si>
  <si>
    <t>ACI Modifier</t>
  </si>
  <si>
    <t>Required Strength</t>
  </si>
  <si>
    <t>Cement</t>
  </si>
  <si>
    <t>Slag/Fly Ash</t>
  </si>
  <si>
    <t>Coarse Aggregate</t>
  </si>
  <si>
    <t>Fine Aggregate</t>
  </si>
  <si>
    <t>Water</t>
  </si>
  <si>
    <t>psi</t>
  </si>
  <si>
    <t>Contact Information:</t>
  </si>
  <si>
    <t>E-mail</t>
  </si>
  <si>
    <t>Required Strength per Spec.</t>
  </si>
  <si>
    <t>Material</t>
  </si>
  <si>
    <t>Certification</t>
  </si>
  <si>
    <t>ASTM</t>
  </si>
  <si>
    <t>Type/Gradation</t>
  </si>
  <si>
    <t>KCMMB Year</t>
  </si>
  <si>
    <t xml:space="preserve">to </t>
  </si>
  <si>
    <t>Fax</t>
  </si>
  <si>
    <t>Name</t>
  </si>
  <si>
    <t>HE</t>
  </si>
  <si>
    <t>Mix Designation*</t>
  </si>
  <si>
    <t>C150</t>
  </si>
  <si>
    <t>C618</t>
  </si>
  <si>
    <t>C989</t>
  </si>
  <si>
    <t>I</t>
  </si>
  <si>
    <t>I/II</t>
  </si>
  <si>
    <t>III</t>
  </si>
  <si>
    <t>II</t>
  </si>
  <si>
    <t>IV</t>
  </si>
  <si>
    <t>V</t>
  </si>
  <si>
    <t>IA</t>
  </si>
  <si>
    <t>IIA</t>
  </si>
  <si>
    <t>IIIA</t>
  </si>
  <si>
    <t>Class F</t>
  </si>
  <si>
    <t>TYPE</t>
  </si>
  <si>
    <t>Grade/Class</t>
  </si>
  <si>
    <t>Slag</t>
  </si>
  <si>
    <t>Fly Ash</t>
  </si>
  <si>
    <t>Gradation</t>
  </si>
  <si>
    <t>57/67</t>
  </si>
  <si>
    <t>C33</t>
  </si>
  <si>
    <t xml:space="preserve">**Provide Laboratory strength tests worksheets in PDF. </t>
  </si>
  <si>
    <t xml:space="preserve">*If the mix designation provided does not include 4K, 5K, or HE the mix designation will have the appropriate suffix </t>
  </si>
  <si>
    <t>attached as shown.</t>
  </si>
  <si>
    <t>Supplier or Certifier</t>
  </si>
  <si>
    <r>
      <t xml:space="preserve">Show all add mixtures that may be used in the mix and include manufacturers dosage ranges. </t>
    </r>
    <r>
      <rPr>
        <b/>
        <i/>
        <sz val="10"/>
        <rFont val="Arial"/>
        <family val="2"/>
      </rPr>
      <t>MUST BE KDOT APPROVED.</t>
    </r>
    <r>
      <rPr>
        <sz val="10"/>
        <rFont val="Arial"/>
        <family val="0"/>
      </rPr>
      <t xml:space="preserve"> Only six admixtures will be shown on the website.</t>
    </r>
  </si>
  <si>
    <r>
      <t xml:space="preserve">Minimum </t>
    </r>
    <r>
      <rPr>
        <sz val="10"/>
        <rFont val="Arial"/>
        <family val="2"/>
      </rPr>
      <t xml:space="preserve">of 450lbs Portland Cement per cubic yard. </t>
    </r>
    <r>
      <rPr>
        <i/>
        <sz val="10"/>
        <rFont val="Arial"/>
        <family val="2"/>
      </rPr>
      <t>Minimum of</t>
    </r>
    <r>
      <rPr>
        <sz val="10"/>
        <rFont val="Arial"/>
        <family val="2"/>
      </rPr>
      <t xml:space="preserve"> 600lbs of cementious material per cubic yard of concrete.</t>
    </r>
  </si>
  <si>
    <t>Maximum Water/Cement Ratio = 0.44,                            Minimum Ratio = 0.25</t>
  </si>
  <si>
    <t xml:space="preserve">Air Entrainment meets requirements of ASTM C260.  </t>
  </si>
  <si>
    <t>Design Air Percentage= 6.5+/- 1.5% by volume</t>
  </si>
  <si>
    <t>KDOT Optimized</t>
  </si>
  <si>
    <t>MoDOT Optimized</t>
  </si>
  <si>
    <t xml:space="preserve">Cylinder Test Results. (MIN - 3 tests, total of 6 cylinder breaks).   If &lt; than 15 cylinders, if 4k - ave. &gt; 5200psi, if 5k - ave. &gt; 6200psi
If &gt; than 15 cylinders, see ACI 5.3.1
</t>
  </si>
  <si>
    <r>
      <t>Minimum</t>
    </r>
    <r>
      <rPr>
        <sz val="10"/>
        <rFont val="Arial"/>
        <family val="0"/>
      </rPr>
      <t xml:space="preserve"> 55% Coarse Aggregate (by weight). Or KDOT/MoDOT approved optimized combination. Meets Gradation ASTM C33.</t>
    </r>
  </si>
  <si>
    <t>T=</t>
  </si>
  <si>
    <t>(Unit Weight @ 0% Air)</t>
  </si>
  <si>
    <t>Design</t>
  </si>
  <si>
    <t>Minimum Allowable Unit Weights</t>
  </si>
  <si>
    <t xml:space="preserve">Mix </t>
  </si>
  <si>
    <t xml:space="preserve">Supplier </t>
  </si>
  <si>
    <t>W/c</t>
  </si>
  <si>
    <t>F-Ash</t>
  </si>
  <si>
    <t>Air6</t>
  </si>
  <si>
    <t>Air7</t>
  </si>
  <si>
    <t>Air8</t>
  </si>
  <si>
    <t>Air4</t>
  </si>
  <si>
    <t>Air5</t>
  </si>
  <si>
    <t xml:space="preserve">Min Air </t>
  </si>
  <si>
    <t>Max Air</t>
  </si>
  <si>
    <t>Strength</t>
  </si>
  <si>
    <t>Min Slump</t>
  </si>
  <si>
    <t>Max Slump</t>
  </si>
  <si>
    <t>Design Slump</t>
  </si>
  <si>
    <t>Agg #1</t>
  </si>
  <si>
    <t>CA#1</t>
  </si>
  <si>
    <t>Agg #2</t>
  </si>
  <si>
    <t>CA#2</t>
  </si>
  <si>
    <t>Sand</t>
  </si>
  <si>
    <t>FA#1</t>
  </si>
  <si>
    <t>Wt.</t>
  </si>
  <si>
    <t>Unit Wt</t>
  </si>
  <si>
    <t>Admix 1</t>
  </si>
  <si>
    <t>Volume</t>
  </si>
  <si>
    <t>Optional</t>
  </si>
  <si>
    <t>Units</t>
  </si>
  <si>
    <t>Admix 2</t>
  </si>
  <si>
    <t>Admix 3</t>
  </si>
  <si>
    <t>Admix 4</t>
  </si>
  <si>
    <t>Admix 5</t>
  </si>
  <si>
    <t>Admix 6</t>
  </si>
  <si>
    <t>Unit 5</t>
  </si>
  <si>
    <t>Unit 6</t>
  </si>
  <si>
    <t>Unit 7</t>
  </si>
  <si>
    <t>Unit8</t>
  </si>
  <si>
    <t>Unit 9</t>
  </si>
  <si>
    <t xml:space="preserve">Approval </t>
  </si>
  <si>
    <t>Phone Number</t>
  </si>
  <si>
    <t>ID</t>
  </si>
  <si>
    <t>Strength Test Results**</t>
  </si>
  <si>
    <t>Notes:</t>
  </si>
  <si>
    <t>Cells in light green are lists and options must be selected from the pull down menu</t>
  </si>
  <si>
    <t>Cells in red require a date to be entered which falls within a certain time period.</t>
  </si>
  <si>
    <t xml:space="preserve"> If the cell does not change to white the date does not fall within the given range.</t>
  </si>
  <si>
    <t>Cement 3</t>
  </si>
  <si>
    <t>Wt</t>
  </si>
  <si>
    <t>+/-</t>
  </si>
  <si>
    <t>in</t>
  </si>
  <si>
    <t>Percentage</t>
  </si>
  <si>
    <t>Total Alkalis Concrete Content</t>
  </si>
  <si>
    <t>Equivalent Alkalis Cement</t>
  </si>
  <si>
    <r>
      <t xml:space="preserve">KDOT Approved </t>
    </r>
    <r>
      <rPr>
        <b/>
        <i/>
        <u val="single"/>
        <sz val="10"/>
        <rFont val="Arial"/>
        <family val="2"/>
      </rPr>
      <t>Type</t>
    </r>
  </si>
  <si>
    <t xml:space="preserve">   Cylinder Strength</t>
  </si>
  <si>
    <t>Average Strength per ACI 318</t>
  </si>
  <si>
    <t>Total Alkalis SCM's</t>
  </si>
  <si>
    <t>Add S.G. input for all materials</t>
  </si>
  <si>
    <t>Need to add option for small cylinders</t>
  </si>
  <si>
    <t>Fix Date information</t>
  </si>
  <si>
    <t>Change % to make it 55%</t>
  </si>
  <si>
    <t>S.G.</t>
  </si>
  <si>
    <t>Phone</t>
  </si>
  <si>
    <t>Cylinder Type</t>
  </si>
  <si>
    <t>6 in</t>
  </si>
  <si>
    <t>Dosage/Range</t>
  </si>
  <si>
    <t>X(Y - Z)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</si>
</sst>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[$-409]dddd\,\ mmmm\ dd\,\ yyyy"/>
    <numFmt numFmtId="167" formatCode="0.00\ &quot;pcf&quot;"/>
    <numFmt numFmtId="168" formatCode="0.0%"/>
    <numFmt numFmtId="169" formatCode="0.0000"/>
    <numFmt numFmtId="170" formatCode="0.0"/>
    <numFmt numFmtId="171" formatCode="0.00000"/>
    <numFmt numFmtId="172" formatCode="0.000000"/>
  </numFmts>
  <fonts count="5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4" fontId="3" fillId="0" borderId="15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0" fillId="0" borderId="16" xfId="0" applyBorder="1" applyAlignment="1">
      <alignment horizontal="left"/>
    </xf>
    <xf numFmtId="0" fontId="2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4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10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2" fontId="2" fillId="0" borderId="10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165" fontId="0" fillId="0" borderId="0" xfId="0" applyNumberForma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Border="1" applyAlignment="1" quotePrefix="1">
      <alignment horizontal="center"/>
    </xf>
    <xf numFmtId="14" fontId="2" fillId="0" borderId="20" xfId="0" applyNumberFormat="1" applyFont="1" applyBorder="1" applyAlignment="1" applyProtection="1">
      <alignment horizontal="center"/>
      <protection locked="0"/>
    </xf>
    <xf numFmtId="14" fontId="2" fillId="0" borderId="2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25" xfId="53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" fontId="4" fillId="0" borderId="17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3999302387238"/>
        </patternFill>
      </fill>
      <border>
        <left style="thin"/>
      </border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3999302387238"/>
        </patternFill>
      </fill>
      <border>
        <left style="thin"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79996681213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3999302387238"/>
        </patternFill>
      </fill>
      <border>
        <left style="thin"/>
      </border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auto="1"/>
      </font>
      <fill>
        <patternFill>
          <bgColor indexed="10"/>
        </patternFill>
      </fill>
    </dxf>
    <dxf>
      <fill>
        <patternFill>
          <bgColor theme="0" tint="-0.24993999302387238"/>
        </patternFill>
      </fill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0.57421875" style="0" bestFit="1" customWidth="1"/>
    <col min="2" max="2" width="4.7109375" style="0" customWidth="1"/>
    <col min="3" max="3" width="12.00390625" style="0" bestFit="1" customWidth="1"/>
    <col min="4" max="4" width="14.7109375" style="0" customWidth="1"/>
    <col min="5" max="5" width="13.8515625" style="0" customWidth="1"/>
    <col min="6" max="6" width="9.28125" style="0" customWidth="1"/>
    <col min="7" max="7" width="11.8515625" style="0" bestFit="1" customWidth="1"/>
    <col min="8" max="8" width="5.421875" style="0" bestFit="1" customWidth="1"/>
    <col min="9" max="9" width="12.8515625" style="0" bestFit="1" customWidth="1"/>
    <col min="10" max="10" width="6.57421875" style="0" customWidth="1"/>
    <col min="11" max="11" width="13.421875" style="2" bestFit="1" customWidth="1"/>
    <col min="12" max="12" width="7.00390625" style="0" bestFit="1" customWidth="1"/>
    <col min="13" max="20" width="11.00390625" style="0" customWidth="1"/>
    <col min="21" max="22" width="3.57421875" style="0" customWidth="1"/>
    <col min="37" max="37" width="14.140625" style="2" customWidth="1"/>
    <col min="38" max="39" width="9.140625" style="2" customWidth="1"/>
    <col min="40" max="40" width="11.28125" style="2" bestFit="1" customWidth="1"/>
    <col min="41" max="41" width="11.7109375" style="2" bestFit="1" customWidth="1"/>
    <col min="42" max="43" width="9.140625" style="2" customWidth="1"/>
  </cols>
  <sheetData>
    <row r="1" spans="1:43" ht="13.5" thickBot="1">
      <c r="A1" s="18" t="s">
        <v>33</v>
      </c>
      <c r="B1" s="13"/>
      <c r="C1" s="19">
        <v>41548</v>
      </c>
      <c r="D1" s="20" t="s">
        <v>34</v>
      </c>
      <c r="E1" s="21">
        <v>42094</v>
      </c>
      <c r="F1" s="79"/>
      <c r="G1" s="80"/>
      <c r="H1" s="2"/>
      <c r="I1" s="17" t="s">
        <v>26</v>
      </c>
      <c r="J1" s="12"/>
      <c r="K1" s="12"/>
      <c r="AK1" s="28" t="s">
        <v>11</v>
      </c>
      <c r="AL1" s="28" t="s">
        <v>31</v>
      </c>
      <c r="AM1" s="28" t="s">
        <v>52</v>
      </c>
      <c r="AN1" s="28" t="s">
        <v>53</v>
      </c>
      <c r="AO1" s="28" t="s">
        <v>29</v>
      </c>
      <c r="AP1" s="28" t="s">
        <v>56</v>
      </c>
      <c r="AQ1" s="2" t="s">
        <v>5</v>
      </c>
    </row>
    <row r="2" spans="1:42" ht="12.75">
      <c r="A2" s="69" t="s">
        <v>0</v>
      </c>
      <c r="B2" s="69"/>
      <c r="C2" s="66"/>
      <c r="D2" s="67"/>
      <c r="E2" s="68"/>
      <c r="F2" s="59"/>
      <c r="G2" s="70" t="s">
        <v>36</v>
      </c>
      <c r="H2" s="71"/>
      <c r="I2" s="82"/>
      <c r="J2" s="83"/>
      <c r="K2" s="84"/>
      <c r="AK2" s="29"/>
      <c r="AL2" s="29"/>
      <c r="AM2" s="29"/>
      <c r="AN2" s="29"/>
      <c r="AO2" s="29" t="s">
        <v>21</v>
      </c>
      <c r="AP2" s="29">
        <v>1</v>
      </c>
    </row>
    <row r="3" spans="1:43" ht="12.75">
      <c r="A3" s="69" t="s">
        <v>1</v>
      </c>
      <c r="B3" s="69"/>
      <c r="C3" s="81"/>
      <c r="D3" s="81"/>
      <c r="E3" s="81"/>
      <c r="F3" s="59"/>
      <c r="G3" s="111" t="s">
        <v>137</v>
      </c>
      <c r="H3" s="71"/>
      <c r="I3" s="82"/>
      <c r="J3" s="83"/>
      <c r="K3" s="84"/>
      <c r="X3" s="55" t="s">
        <v>132</v>
      </c>
      <c r="AK3" s="28">
        <v>4000</v>
      </c>
      <c r="AL3" s="28" t="s">
        <v>58</v>
      </c>
      <c r="AM3" s="28" t="s">
        <v>42</v>
      </c>
      <c r="AN3" s="28">
        <v>100</v>
      </c>
      <c r="AO3" s="28" t="s">
        <v>54</v>
      </c>
      <c r="AP3" s="28">
        <v>2</v>
      </c>
      <c r="AQ3" s="2" t="s">
        <v>101</v>
      </c>
    </row>
    <row r="4" spans="1:42" ht="12.75">
      <c r="A4" s="69" t="s">
        <v>38</v>
      </c>
      <c r="B4" s="69"/>
      <c r="C4" s="82"/>
      <c r="D4" s="83"/>
      <c r="E4" s="9" t="str">
        <f>IF(C5=4000,"4K",IF(C5=5000,"5K",IF(C5="HE","HE","ERROR")))</f>
        <v>ERROR</v>
      </c>
      <c r="F4" s="59"/>
      <c r="G4" s="70" t="s">
        <v>27</v>
      </c>
      <c r="H4" s="71"/>
      <c r="I4" s="91"/>
      <c r="J4" s="92"/>
      <c r="K4" s="93"/>
      <c r="X4" s="55" t="s">
        <v>133</v>
      </c>
      <c r="AK4" s="28">
        <v>5000</v>
      </c>
      <c r="AL4" s="29" t="s">
        <v>39</v>
      </c>
      <c r="AM4" s="28" t="s">
        <v>43</v>
      </c>
      <c r="AN4" s="28">
        <v>120</v>
      </c>
      <c r="AO4" s="28" t="s">
        <v>55</v>
      </c>
      <c r="AP4" s="28">
        <v>3</v>
      </c>
    </row>
    <row r="5" spans="1:42" ht="12.75">
      <c r="A5" s="69" t="s">
        <v>11</v>
      </c>
      <c r="B5" s="69"/>
      <c r="C5" s="107"/>
      <c r="D5" s="108"/>
      <c r="E5" t="s">
        <v>25</v>
      </c>
      <c r="F5" s="60"/>
      <c r="G5" s="112" t="s">
        <v>35</v>
      </c>
      <c r="H5" s="71"/>
      <c r="I5" s="82"/>
      <c r="J5" s="92"/>
      <c r="K5" s="93"/>
      <c r="X5" s="55" t="s">
        <v>134</v>
      </c>
      <c r="AK5" s="28" t="s">
        <v>37</v>
      </c>
      <c r="AL5" s="28" t="s">
        <v>40</v>
      </c>
      <c r="AM5" s="28" t="s">
        <v>45</v>
      </c>
      <c r="AN5" s="28" t="s">
        <v>51</v>
      </c>
      <c r="AO5" s="28"/>
      <c r="AP5" s="28">
        <v>4</v>
      </c>
    </row>
    <row r="6" spans="1:42" ht="12.75">
      <c r="A6" s="5"/>
      <c r="B6" s="5"/>
      <c r="C6" s="1"/>
      <c r="X6" s="55" t="s">
        <v>135</v>
      </c>
      <c r="AK6" s="28"/>
      <c r="AL6" s="28" t="s">
        <v>41</v>
      </c>
      <c r="AM6" s="28" t="s">
        <v>44</v>
      </c>
      <c r="AN6" s="28"/>
      <c r="AO6" s="28"/>
      <c r="AP6" s="28">
        <v>5</v>
      </c>
    </row>
    <row r="7" spans="6:42" ht="12.75">
      <c r="F7" s="94" t="s">
        <v>30</v>
      </c>
      <c r="G7" s="94"/>
      <c r="H7" s="15"/>
      <c r="I7" s="22">
        <v>41548</v>
      </c>
      <c r="J7" s="15" t="s">
        <v>34</v>
      </c>
      <c r="K7" s="23">
        <v>42094</v>
      </c>
      <c r="AK7" s="28"/>
      <c r="AL7" s="28"/>
      <c r="AM7" s="28" t="s">
        <v>46</v>
      </c>
      <c r="AN7" s="28"/>
      <c r="AO7" s="28"/>
      <c r="AP7" s="28">
        <v>6</v>
      </c>
    </row>
    <row r="8" spans="1:42" ht="12.75">
      <c r="A8" s="96" t="s">
        <v>29</v>
      </c>
      <c r="B8" s="96"/>
      <c r="C8" s="95" t="s">
        <v>62</v>
      </c>
      <c r="D8" s="95"/>
      <c r="E8" s="24" t="s">
        <v>32</v>
      </c>
      <c r="F8" s="24" t="s">
        <v>31</v>
      </c>
      <c r="G8" s="24" t="s">
        <v>0</v>
      </c>
      <c r="H8" s="24" t="s">
        <v>136</v>
      </c>
      <c r="I8" s="25" t="s">
        <v>2</v>
      </c>
      <c r="K8" s="27" t="s">
        <v>13</v>
      </c>
      <c r="AK8" s="28"/>
      <c r="AL8" s="28"/>
      <c r="AM8" s="28" t="s">
        <v>47</v>
      </c>
      <c r="AN8" s="28"/>
      <c r="AO8" s="28"/>
      <c r="AP8" s="28">
        <v>7</v>
      </c>
    </row>
    <row r="9" spans="1:42" ht="12.75" customHeight="1">
      <c r="A9" s="97" t="s">
        <v>20</v>
      </c>
      <c r="B9" s="97"/>
      <c r="C9" s="81"/>
      <c r="D9" s="81"/>
      <c r="E9" s="39"/>
      <c r="F9" s="40"/>
      <c r="G9" s="41"/>
      <c r="H9" s="61"/>
      <c r="I9" s="42"/>
      <c r="J9" t="s">
        <v>3</v>
      </c>
      <c r="K9" s="3" t="e">
        <f>I9/($I$9+$I$10)</f>
        <v>#DIV/0!</v>
      </c>
      <c r="W9" s="73" t="s">
        <v>64</v>
      </c>
      <c r="X9" s="73"/>
      <c r="Y9" s="73"/>
      <c r="Z9" s="73"/>
      <c r="AA9" s="73"/>
      <c r="AB9" s="73"/>
      <c r="AK9" s="28"/>
      <c r="AL9" s="28"/>
      <c r="AM9" s="28" t="s">
        <v>48</v>
      </c>
      <c r="AN9" s="28"/>
      <c r="AO9" s="28"/>
      <c r="AP9" s="28">
        <v>56</v>
      </c>
    </row>
    <row r="10" spans="1:42" ht="12.75">
      <c r="A10" s="98" t="s">
        <v>21</v>
      </c>
      <c r="B10" s="98"/>
      <c r="C10" s="81"/>
      <c r="D10" s="81"/>
      <c r="E10" s="39"/>
      <c r="F10" s="40"/>
      <c r="G10" s="41"/>
      <c r="H10" s="61"/>
      <c r="I10" s="42"/>
      <c r="J10" t="s">
        <v>3</v>
      </c>
      <c r="K10" s="3" t="e">
        <f>I10/($I$9+$I$10)</f>
        <v>#DIV/0!</v>
      </c>
      <c r="W10" s="73"/>
      <c r="X10" s="73"/>
      <c r="Y10" s="73"/>
      <c r="Z10" s="73"/>
      <c r="AA10" s="73"/>
      <c r="AB10" s="73"/>
      <c r="AK10" s="28"/>
      <c r="AL10" s="28"/>
      <c r="AM10" s="28" t="s">
        <v>49</v>
      </c>
      <c r="AN10" s="28"/>
      <c r="AO10" s="28"/>
      <c r="AP10" s="28">
        <v>57</v>
      </c>
    </row>
    <row r="11" spans="1:42" ht="12.75">
      <c r="A11" s="97" t="s">
        <v>22</v>
      </c>
      <c r="B11" s="97"/>
      <c r="C11" s="81"/>
      <c r="D11" s="81"/>
      <c r="E11" s="39"/>
      <c r="F11" s="40"/>
      <c r="G11" s="41"/>
      <c r="H11" s="61"/>
      <c r="I11" s="42"/>
      <c r="J11" t="s">
        <v>3</v>
      </c>
      <c r="K11" s="3" t="e">
        <f>I11/($I$11+$I$12)</f>
        <v>#DIV/0!</v>
      </c>
      <c r="L11" s="5" t="e">
        <f>IF(K11&lt;0.55,"Fails Minimum 55% Coarse Aggregate (by weight) or KDOT/MoDOT approved optimized combination","")</f>
        <v>#DIV/0!</v>
      </c>
      <c r="W11" s="74" t="s">
        <v>71</v>
      </c>
      <c r="X11" s="74"/>
      <c r="Y11" s="74"/>
      <c r="Z11" s="74"/>
      <c r="AA11" s="74"/>
      <c r="AB11" s="74"/>
      <c r="AK11" s="28"/>
      <c r="AL11" s="28"/>
      <c r="AM11" s="28" t="s">
        <v>50</v>
      </c>
      <c r="AN11" s="28"/>
      <c r="AO11" s="28"/>
      <c r="AP11" s="28">
        <v>67</v>
      </c>
    </row>
    <row r="12" spans="1:42" ht="12.75">
      <c r="A12" s="97" t="s">
        <v>23</v>
      </c>
      <c r="B12" s="97"/>
      <c r="C12" s="81"/>
      <c r="D12" s="81"/>
      <c r="E12" s="39"/>
      <c r="F12" s="40"/>
      <c r="G12" s="41"/>
      <c r="H12" s="61"/>
      <c r="I12" s="42"/>
      <c r="J12" t="s">
        <v>3</v>
      </c>
      <c r="K12" s="3" t="e">
        <f>I12/($I$11+$I$12)</f>
        <v>#DIV/0!</v>
      </c>
      <c r="W12" s="74"/>
      <c r="X12" s="74"/>
      <c r="Y12" s="74"/>
      <c r="Z12" s="74"/>
      <c r="AA12" s="74"/>
      <c r="AB12" s="74"/>
      <c r="AK12" s="28"/>
      <c r="AL12" s="28"/>
      <c r="AM12" s="28"/>
      <c r="AN12" s="28"/>
      <c r="AO12" s="28"/>
      <c r="AP12" s="28">
        <v>357</v>
      </c>
    </row>
    <row r="13" spans="1:42" ht="12.75">
      <c r="A13" s="97" t="s">
        <v>24</v>
      </c>
      <c r="B13" s="97"/>
      <c r="C13" s="81"/>
      <c r="D13" s="81"/>
      <c r="E13" s="38"/>
      <c r="F13" s="43"/>
      <c r="G13" s="41"/>
      <c r="H13" s="62">
        <v>1</v>
      </c>
      <c r="I13" s="42"/>
      <c r="J13" t="s">
        <v>3</v>
      </c>
      <c r="K13" s="4">
        <f>I13/62.4/0.13365</f>
        <v>0</v>
      </c>
      <c r="L13" t="s">
        <v>4</v>
      </c>
      <c r="AK13" s="28"/>
      <c r="AL13" s="28"/>
      <c r="AM13" s="28"/>
      <c r="AN13" s="28"/>
      <c r="AO13" s="28"/>
      <c r="AP13" s="28">
        <v>467</v>
      </c>
    </row>
    <row r="14" spans="37:42" ht="12.75">
      <c r="AK14" s="28"/>
      <c r="AL14" s="28"/>
      <c r="AM14" s="28"/>
      <c r="AN14" s="28"/>
      <c r="AO14" s="28"/>
      <c r="AP14" s="28" t="s">
        <v>57</v>
      </c>
    </row>
    <row r="15" spans="1:42" ht="12.75">
      <c r="A15" s="26" t="s">
        <v>5</v>
      </c>
      <c r="B15" s="26"/>
      <c r="C15" s="26"/>
      <c r="D15" s="26"/>
      <c r="E15" s="26"/>
      <c r="F15" s="90" t="s">
        <v>128</v>
      </c>
      <c r="G15" s="90"/>
      <c r="H15" s="53"/>
      <c r="I15" t="s">
        <v>140</v>
      </c>
      <c r="K15" s="2" t="s">
        <v>101</v>
      </c>
      <c r="AP15" s="28" t="s">
        <v>68</v>
      </c>
    </row>
    <row r="16" spans="1:42" ht="12.75" customHeight="1">
      <c r="A16" s="81"/>
      <c r="B16" s="81"/>
      <c r="C16" s="81"/>
      <c r="D16" s="81"/>
      <c r="E16" s="81"/>
      <c r="F16" s="81"/>
      <c r="G16" s="81"/>
      <c r="H16" s="38"/>
      <c r="I16" s="48" t="s">
        <v>141</v>
      </c>
      <c r="J16" t="s">
        <v>6</v>
      </c>
      <c r="K16" s="35"/>
      <c r="W16" s="75" t="s">
        <v>63</v>
      </c>
      <c r="X16" s="75"/>
      <c r="Y16" s="75"/>
      <c r="Z16" s="75"/>
      <c r="AA16" s="75"/>
      <c r="AB16" s="75"/>
      <c r="AP16" s="28" t="s">
        <v>69</v>
      </c>
    </row>
    <row r="17" spans="1:28" ht="12.75">
      <c r="A17" s="81"/>
      <c r="B17" s="81"/>
      <c r="C17" s="81"/>
      <c r="D17" s="81"/>
      <c r="E17" s="81"/>
      <c r="F17" s="81"/>
      <c r="G17" s="81"/>
      <c r="H17" s="38"/>
      <c r="I17" s="48"/>
      <c r="J17" t="s">
        <v>6</v>
      </c>
      <c r="K17" s="35"/>
      <c r="W17" s="75"/>
      <c r="X17" s="75"/>
      <c r="Y17" s="75"/>
      <c r="Z17" s="75"/>
      <c r="AA17" s="75"/>
      <c r="AB17" s="75"/>
    </row>
    <row r="18" spans="1:28" ht="12.75">
      <c r="A18" s="81"/>
      <c r="B18" s="81"/>
      <c r="C18" s="81"/>
      <c r="D18" s="81"/>
      <c r="E18" s="81"/>
      <c r="F18" s="81"/>
      <c r="G18" s="81"/>
      <c r="H18" s="38"/>
      <c r="I18" s="48"/>
      <c r="J18" t="s">
        <v>6</v>
      </c>
      <c r="K18" s="35"/>
      <c r="W18" s="75"/>
      <c r="X18" s="75"/>
      <c r="Y18" s="75"/>
      <c r="Z18" s="75"/>
      <c r="AA18" s="75"/>
      <c r="AB18" s="75"/>
    </row>
    <row r="19" spans="1:28" ht="12.75">
      <c r="A19" s="81"/>
      <c r="B19" s="81"/>
      <c r="C19" s="81"/>
      <c r="D19" s="81"/>
      <c r="E19" s="81"/>
      <c r="F19" s="81"/>
      <c r="G19" s="81"/>
      <c r="H19" s="38"/>
      <c r="I19" s="48"/>
      <c r="J19" t="s">
        <v>6</v>
      </c>
      <c r="K19" s="35"/>
      <c r="W19" s="75"/>
      <c r="X19" s="75"/>
      <c r="Y19" s="75"/>
      <c r="Z19" s="75"/>
      <c r="AA19" s="75"/>
      <c r="AB19" s="75"/>
    </row>
    <row r="20" spans="1:28" ht="12.75">
      <c r="A20" s="81"/>
      <c r="B20" s="81"/>
      <c r="C20" s="81"/>
      <c r="D20" s="81"/>
      <c r="E20" s="81"/>
      <c r="F20" s="81"/>
      <c r="G20" s="81"/>
      <c r="H20" s="38"/>
      <c r="I20" s="48"/>
      <c r="J20" t="s">
        <v>6</v>
      </c>
      <c r="K20" s="35"/>
      <c r="W20" s="75"/>
      <c r="X20" s="75"/>
      <c r="Y20" s="75"/>
      <c r="Z20" s="75"/>
      <c r="AA20" s="75"/>
      <c r="AB20" s="75"/>
    </row>
    <row r="21" spans="1:28" ht="12.75">
      <c r="A21" s="81"/>
      <c r="B21" s="81"/>
      <c r="C21" s="81"/>
      <c r="D21" s="81"/>
      <c r="E21" s="81"/>
      <c r="F21" s="81"/>
      <c r="G21" s="81"/>
      <c r="H21" s="38"/>
      <c r="I21" s="48"/>
      <c r="J21" t="s">
        <v>6</v>
      </c>
      <c r="K21" s="35"/>
      <c r="W21" s="75"/>
      <c r="X21" s="75"/>
      <c r="Y21" s="75"/>
      <c r="Z21" s="75"/>
      <c r="AA21" s="75"/>
      <c r="AB21" s="75"/>
    </row>
    <row r="22" spans="1:28" ht="12.75">
      <c r="A22" s="81"/>
      <c r="B22" s="81"/>
      <c r="C22" s="81"/>
      <c r="D22" s="81"/>
      <c r="E22" s="81"/>
      <c r="F22" s="81"/>
      <c r="G22" s="81"/>
      <c r="H22" s="38"/>
      <c r="I22" s="48"/>
      <c r="J22" t="s">
        <v>6</v>
      </c>
      <c r="K22" s="35"/>
      <c r="W22" s="75"/>
      <c r="X22" s="75"/>
      <c r="Y22" s="75"/>
      <c r="Z22" s="75"/>
      <c r="AA22" s="75"/>
      <c r="AB22" s="75"/>
    </row>
    <row r="23" spans="1:28" ht="12.75">
      <c r="A23" s="89"/>
      <c r="B23" s="89"/>
      <c r="C23" s="89"/>
      <c r="D23" s="89"/>
      <c r="E23" s="89"/>
      <c r="F23" s="81"/>
      <c r="G23" s="81"/>
      <c r="H23" s="38"/>
      <c r="I23" s="45"/>
      <c r="J23" t="s">
        <v>6</v>
      </c>
      <c r="K23" s="35"/>
      <c r="W23" s="75"/>
      <c r="X23" s="75"/>
      <c r="Y23" s="75"/>
      <c r="Z23" s="75"/>
      <c r="AA23" s="75"/>
      <c r="AB23" s="75"/>
    </row>
    <row r="24" spans="1:11" ht="12.75">
      <c r="A24" t="s">
        <v>7</v>
      </c>
      <c r="G24" s="64"/>
      <c r="H24" s="14"/>
      <c r="I24" s="65" t="s">
        <v>123</v>
      </c>
      <c r="J24" s="36"/>
      <c r="K24" s="37" t="s">
        <v>124</v>
      </c>
    </row>
    <row r="25" spans="1:28" ht="12.75">
      <c r="A25" t="s">
        <v>8</v>
      </c>
      <c r="I25" s="7"/>
      <c r="J25" t="s">
        <v>13</v>
      </c>
      <c r="K25" s="5" t="str">
        <f>IF(I25&lt;&gt;6.5,"Mixes shall be designed for 6.5% air content.","")</f>
        <v>Mixes shall be designed for 6.5% air content.</v>
      </c>
      <c r="W25" s="76" t="s">
        <v>66</v>
      </c>
      <c r="X25" s="76"/>
      <c r="Y25" s="76"/>
      <c r="Z25" s="76"/>
      <c r="AA25" s="76"/>
      <c r="AB25" s="76"/>
    </row>
    <row r="26" spans="1:28" ht="12.75">
      <c r="A26" t="s">
        <v>9</v>
      </c>
      <c r="I26" s="11">
        <f>(I9+I10+I11+I12+I13)/27</f>
        <v>0</v>
      </c>
      <c r="J26" t="s">
        <v>12</v>
      </c>
      <c r="W26" s="76" t="s">
        <v>67</v>
      </c>
      <c r="X26" s="76"/>
      <c r="Y26" s="76"/>
      <c r="Z26" s="76"/>
      <c r="AA26" s="76"/>
      <c r="AB26" s="76"/>
    </row>
    <row r="27" spans="1:28" ht="12.75" customHeight="1">
      <c r="A27" t="s">
        <v>10</v>
      </c>
      <c r="I27" s="10" t="e">
        <f>IF(I13/(I9+I10)&gt;0.44,"Out of Spec.",IF(I13/(I9+I10)&lt;0.25,"Out of Spec.",I13/(I9+I10)))</f>
        <v>#DIV/0!</v>
      </c>
      <c r="W27" s="72" t="s">
        <v>65</v>
      </c>
      <c r="X27" s="72"/>
      <c r="Y27" s="72"/>
      <c r="Z27" s="72"/>
      <c r="AA27" s="72"/>
      <c r="AB27" s="72"/>
    </row>
    <row r="28" spans="9:28" ht="12.75" customHeight="1">
      <c r="I28" s="63"/>
      <c r="W28" s="72"/>
      <c r="X28" s="72"/>
      <c r="Y28" s="72"/>
      <c r="Z28" s="72"/>
      <c r="AA28" s="72"/>
      <c r="AB28" s="72"/>
    </row>
    <row r="29" spans="1:28" ht="12.75">
      <c r="A29" s="51" t="s">
        <v>138</v>
      </c>
      <c r="C29" s="35" t="s">
        <v>139</v>
      </c>
      <c r="D29" s="44"/>
      <c r="W29" s="72"/>
      <c r="X29" s="72"/>
      <c r="Y29" s="72"/>
      <c r="Z29" s="72"/>
      <c r="AA29" s="72"/>
      <c r="AB29" s="72"/>
    </row>
    <row r="30" ht="12.75">
      <c r="A30" t="s">
        <v>116</v>
      </c>
    </row>
    <row r="31" spans="1:11" ht="12.75">
      <c r="A31" t="s">
        <v>0</v>
      </c>
      <c r="B31" s="69" t="s">
        <v>129</v>
      </c>
      <c r="C31" s="69"/>
      <c r="D31" s="69"/>
      <c r="E31" t="s">
        <v>14</v>
      </c>
      <c r="K31" s="5"/>
    </row>
    <row r="32" spans="1:22" ht="12.75" customHeight="1">
      <c r="A32" s="41"/>
      <c r="B32" s="85"/>
      <c r="C32" s="42"/>
      <c r="E32" s="86">
        <f>IF($C$29="6 in",(C32+C33)/2,IF($C$29="4 in",(C32+C33+C34)/3))</f>
        <v>0</v>
      </c>
      <c r="F32" s="109" t="str">
        <f>IF(E42&gt;=I42,"Strengths Meet Specification",IF(E42="HE","Provide a Maturity Curve","FAILS SPECIFICATION REQUIREMENTS, SEE ACI 318"))</f>
        <v>FAILS SPECIFICATION REQUIREMENTS, SEE ACI 318</v>
      </c>
      <c r="G32" s="109"/>
      <c r="H32" s="109"/>
      <c r="I32" s="109"/>
      <c r="J32" s="109"/>
      <c r="K32" s="10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8" ht="12.75">
      <c r="A33" s="41"/>
      <c r="B33" s="85"/>
      <c r="C33" s="42"/>
      <c r="E33" s="87"/>
      <c r="F33" s="109"/>
      <c r="G33" s="109"/>
      <c r="H33" s="109"/>
      <c r="I33" s="109"/>
      <c r="J33" s="109"/>
      <c r="K33" s="109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2" t="s">
        <v>70</v>
      </c>
      <c r="X33" s="72"/>
      <c r="Y33" s="72"/>
      <c r="Z33" s="72"/>
      <c r="AA33" s="72"/>
      <c r="AB33" s="72"/>
    </row>
    <row r="34" spans="1:28" ht="12.75">
      <c r="A34" s="41"/>
      <c r="B34" s="85"/>
      <c r="C34" s="42"/>
      <c r="E34" s="88"/>
      <c r="F34" s="109"/>
      <c r="G34" s="109"/>
      <c r="H34" s="109"/>
      <c r="I34" s="109"/>
      <c r="J34" s="109"/>
      <c r="K34" s="109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2"/>
      <c r="X34" s="72"/>
      <c r="Y34" s="72"/>
      <c r="Z34" s="72"/>
      <c r="AA34" s="72"/>
      <c r="AB34" s="72"/>
    </row>
    <row r="35" spans="1:28" ht="12.75" customHeight="1">
      <c r="A35" s="41"/>
      <c r="B35" s="85"/>
      <c r="C35" s="42"/>
      <c r="E35" s="86">
        <f>IF($C$29="6 in",(C35+C36)/2,IF($C$29="4 in",(C35+C36+C37)/3))</f>
        <v>0</v>
      </c>
      <c r="F35" s="109"/>
      <c r="G35" s="109"/>
      <c r="H35" s="109"/>
      <c r="I35" s="109"/>
      <c r="J35" s="109"/>
      <c r="K35" s="10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2"/>
      <c r="X35" s="72"/>
      <c r="Y35" s="72"/>
      <c r="Z35" s="72"/>
      <c r="AA35" s="72"/>
      <c r="AB35" s="72"/>
    </row>
    <row r="36" spans="1:28" ht="12.75">
      <c r="A36" s="41"/>
      <c r="B36" s="85"/>
      <c r="C36" s="42"/>
      <c r="E36" s="87"/>
      <c r="F36" s="109"/>
      <c r="G36" s="109"/>
      <c r="H36" s="109"/>
      <c r="I36" s="109"/>
      <c r="J36" s="109"/>
      <c r="K36" s="109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2"/>
      <c r="X36" s="72"/>
      <c r="Y36" s="72"/>
      <c r="Z36" s="72"/>
      <c r="AA36" s="72"/>
      <c r="AB36" s="72"/>
    </row>
    <row r="37" spans="1:28" ht="12.75">
      <c r="A37" s="41"/>
      <c r="B37" s="85"/>
      <c r="C37" s="42"/>
      <c r="E37" s="88"/>
      <c r="F37" s="109"/>
      <c r="G37" s="109"/>
      <c r="H37" s="109"/>
      <c r="I37" s="109"/>
      <c r="J37" s="109"/>
      <c r="K37" s="109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2"/>
      <c r="X37" s="72"/>
      <c r="Y37" s="72"/>
      <c r="Z37" s="72"/>
      <c r="AA37" s="72"/>
      <c r="AB37" s="72"/>
    </row>
    <row r="38" spans="1:28" ht="12.75">
      <c r="A38" s="41"/>
      <c r="B38" s="85"/>
      <c r="C38" s="42"/>
      <c r="E38" s="86">
        <f>IF($C$29="6 in",(C38+C39)/2,IF($C$29="4 in",(C38+C39+C40)/3))</f>
        <v>0</v>
      </c>
      <c r="F38" s="109"/>
      <c r="G38" s="109"/>
      <c r="H38" s="109"/>
      <c r="I38" s="109"/>
      <c r="J38" s="109"/>
      <c r="K38" s="10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2"/>
      <c r="X38" s="72"/>
      <c r="Y38" s="72"/>
      <c r="Z38" s="72"/>
      <c r="AA38" s="72"/>
      <c r="AB38" s="72"/>
    </row>
    <row r="39" spans="1:28" ht="12.75">
      <c r="A39" s="41"/>
      <c r="B39" s="85"/>
      <c r="C39" s="42"/>
      <c r="E39" s="87"/>
      <c r="F39" s="109"/>
      <c r="G39" s="109"/>
      <c r="H39" s="109"/>
      <c r="I39" s="109"/>
      <c r="J39" s="109"/>
      <c r="K39" s="10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2"/>
      <c r="X39" s="72"/>
      <c r="Y39" s="72"/>
      <c r="Z39" s="72"/>
      <c r="AA39" s="72"/>
      <c r="AB39" s="72"/>
    </row>
    <row r="40" spans="1:28" ht="12.75">
      <c r="A40" s="41"/>
      <c r="B40" s="85"/>
      <c r="C40" s="42"/>
      <c r="E40" s="88"/>
      <c r="F40" s="109"/>
      <c r="G40" s="109"/>
      <c r="H40" s="109"/>
      <c r="I40" s="109"/>
      <c r="J40" s="109"/>
      <c r="K40" s="10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2"/>
      <c r="X40" s="72"/>
      <c r="Y40" s="72"/>
      <c r="Z40" s="72"/>
      <c r="AA40" s="72"/>
      <c r="AB40" s="72"/>
    </row>
    <row r="41" spans="3:22" ht="12.75">
      <c r="C41" s="1"/>
      <c r="F41" s="109"/>
      <c r="G41" s="109"/>
      <c r="H41" s="109"/>
      <c r="I41" s="109"/>
      <c r="J41" s="109"/>
      <c r="K41" s="10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11" ht="12.75">
      <c r="A42" s="80" t="s">
        <v>130</v>
      </c>
      <c r="B42" s="80"/>
      <c r="C42" s="80"/>
      <c r="D42" s="80"/>
      <c r="E42" s="8" t="str">
        <f>IF(A46&gt;0,#REF!,IF(C5=4000,(E32+E35+E38)/3,IF(C5=5000,(E32+E35+E38)/3,IF(C5="HE","HE","ERROR"))))</f>
        <v>ERROR</v>
      </c>
      <c r="F42" s="110" t="s">
        <v>28</v>
      </c>
      <c r="G42" s="110"/>
      <c r="H42" s="56"/>
      <c r="I42" s="101" t="str">
        <f>IF(A46&gt;0,I46,IF($C$5=4000,5200,IF($C$5=5000,6200,IF(E42="HE","","INCORRECT DESIGN STRENGTH"))))</f>
        <v>INCORRECT DESIGN STRENGTH</v>
      </c>
      <c r="J42" s="102"/>
      <c r="K42" s="103"/>
    </row>
    <row r="43" spans="6:11" ht="12.75">
      <c r="F43" s="110"/>
      <c r="G43" s="110"/>
      <c r="H43" s="57"/>
      <c r="I43" s="104"/>
      <c r="J43" s="105"/>
      <c r="K43" s="106"/>
    </row>
    <row r="44" ht="15">
      <c r="E44" s="16" t="s">
        <v>15</v>
      </c>
    </row>
    <row r="45" spans="1:10" ht="12.75">
      <c r="A45" s="78" t="s">
        <v>16</v>
      </c>
      <c r="B45" s="78"/>
      <c r="C45" s="78"/>
      <c r="D45" s="78" t="s">
        <v>17</v>
      </c>
      <c r="E45" s="78"/>
      <c r="F45" s="78" t="s">
        <v>18</v>
      </c>
      <c r="G45" s="78"/>
      <c r="H45" s="47"/>
      <c r="I45" s="78" t="s">
        <v>19</v>
      </c>
      <c r="J45" s="78"/>
    </row>
    <row r="46" spans="1:10" ht="12.75">
      <c r="A46" s="89"/>
      <c r="B46" s="89"/>
      <c r="C46" s="89"/>
      <c r="D46" s="77"/>
      <c r="E46" s="77"/>
      <c r="F46" s="89"/>
      <c r="G46" s="89"/>
      <c r="H46" s="54"/>
      <c r="I46" s="77"/>
      <c r="J46" s="77"/>
    </row>
    <row r="47" ht="12.75">
      <c r="A47" t="s">
        <v>60</v>
      </c>
    </row>
    <row r="48" ht="12.75">
      <c r="A48" t="s">
        <v>61</v>
      </c>
    </row>
    <row r="49" ht="12.75">
      <c r="A49" t="s">
        <v>59</v>
      </c>
    </row>
    <row r="51" spans="3:9" ht="15">
      <c r="C51" s="30" t="s">
        <v>72</v>
      </c>
      <c r="D51" s="31">
        <f>I26/(1-I25/100)</f>
        <v>0</v>
      </c>
      <c r="E51" s="100" t="s">
        <v>73</v>
      </c>
      <c r="F51" s="100"/>
      <c r="G51" s="100"/>
      <c r="H51" s="100"/>
      <c r="I51" s="100"/>
    </row>
    <row r="52" spans="3:9" ht="15">
      <c r="C52" s="32" t="s">
        <v>74</v>
      </c>
      <c r="D52" s="99" t="s">
        <v>75</v>
      </c>
      <c r="E52" s="99"/>
      <c r="F52" s="99"/>
      <c r="G52" s="99"/>
      <c r="H52" s="99"/>
      <c r="I52" s="99"/>
    </row>
    <row r="53" spans="3:9" ht="15">
      <c r="C53" s="33">
        <v>0.065</v>
      </c>
      <c r="D53" s="33">
        <v>0.05</v>
      </c>
      <c r="E53" s="33">
        <v>0.06</v>
      </c>
      <c r="F53" s="33">
        <v>0.065</v>
      </c>
      <c r="G53" s="33">
        <v>0.07</v>
      </c>
      <c r="H53" s="33"/>
      <c r="I53" s="33">
        <v>0.08</v>
      </c>
    </row>
    <row r="54" spans="3:9" ht="15">
      <c r="C54" s="31">
        <f>I26</f>
        <v>0</v>
      </c>
      <c r="D54" s="31">
        <f>$D$51*(1-D53)*0.99</f>
        <v>0</v>
      </c>
      <c r="E54" s="31">
        <f>$D$51*(1-E53)*0.99</f>
        <v>0</v>
      </c>
      <c r="F54" s="31">
        <f>$D$51*(1-F53)*0.99</f>
        <v>0</v>
      </c>
      <c r="G54" s="31">
        <f>$D$51*(1-G53)*0.99</f>
        <v>0</v>
      </c>
      <c r="H54" s="31"/>
      <c r="I54" s="31">
        <f>$D$51*(1-I53)*0.99</f>
        <v>0</v>
      </c>
    </row>
    <row r="56" spans="4:8" ht="12.75">
      <c r="D56" s="47" t="s">
        <v>125</v>
      </c>
      <c r="E56" s="49" t="s">
        <v>2</v>
      </c>
      <c r="F56" s="49" t="s">
        <v>97</v>
      </c>
      <c r="G56" s="50"/>
      <c r="H56" s="58"/>
    </row>
    <row r="57" spans="1:8" ht="12.75">
      <c r="A57" s="51" t="s">
        <v>131</v>
      </c>
      <c r="D57" s="52"/>
      <c r="E57" s="47">
        <f>I10</f>
        <v>0</v>
      </c>
      <c r="F57" s="46" t="str">
        <f>IF(A10="Slag",0.5*D57*E57,IF(A10="Fly Ash",1/6*D57*E57,"ERROR"))</f>
        <v>ERROR</v>
      </c>
      <c r="G57" s="50" t="s">
        <v>3</v>
      </c>
      <c r="H57" s="58"/>
    </row>
    <row r="58" spans="1:8" ht="12.75">
      <c r="A58" t="s">
        <v>127</v>
      </c>
      <c r="D58" s="52"/>
      <c r="E58" s="47">
        <f>I9</f>
        <v>0</v>
      </c>
      <c r="F58" s="46">
        <f>D58*E58</f>
        <v>0</v>
      </c>
      <c r="G58" s="50" t="s">
        <v>3</v>
      </c>
      <c r="H58" s="58"/>
    </row>
    <row r="59" spans="1:9" ht="12.75">
      <c r="A59" t="s">
        <v>126</v>
      </c>
      <c r="F59" s="46">
        <f>SUM(F57:F58)</f>
        <v>0</v>
      </c>
      <c r="G59" s="50" t="s">
        <v>3</v>
      </c>
      <c r="H59" s="58"/>
      <c r="I59" t="str">
        <f>IF(F59&lt;&gt;0,IF(F59&lt;5,"Meets Specification","Does Not Meet Spec."),"Does Not Meet Spec.")</f>
        <v>Does Not Meet Spec.</v>
      </c>
    </row>
    <row r="61" ht="12.75">
      <c r="A61" s="44" t="s">
        <v>117</v>
      </c>
    </row>
    <row r="62" ht="12.75">
      <c r="A62" s="44" t="s">
        <v>118</v>
      </c>
    </row>
    <row r="63" ht="12.75">
      <c r="A63" s="44" t="s">
        <v>119</v>
      </c>
    </row>
    <row r="64" ht="12.75">
      <c r="A64" s="44" t="s">
        <v>120</v>
      </c>
    </row>
  </sheetData>
  <sheetProtection password="DE47" sheet="1"/>
  <protectedRanges>
    <protectedRange sqref="C29" name="Cylinder Type"/>
    <protectedRange sqref="D57:D58" name="Total Alkali Wt._1"/>
    <protectedRange sqref="I16:I20" name="Admixture Data_1"/>
    <protectedRange sqref="A46:J46" name="Strength Data 2"/>
    <protectedRange sqref="A32:C40" name="Strength Data 1"/>
    <protectedRange sqref="I25" name="Air"/>
    <protectedRange sqref="I21:I23 A16:H23" name="Admixture Data"/>
    <protectedRange sqref="I9:I13" name="Material Quantities"/>
    <protectedRange sqref="E13:H13" name="Water"/>
    <protectedRange sqref="C9:D13" name="Material Information 1"/>
    <protectedRange sqref="C4:D4" name="Mix Designation"/>
    <protectedRange sqref="C2:E3" name="Supplier Information 1"/>
    <protectedRange sqref="C5" name="Design Strength"/>
    <protectedRange sqref="E9:H12" name="Material Information 2"/>
    <protectedRange sqref="G24:J24" name="Slump_1"/>
    <protectedRange sqref="I2:K5" name="Supplier Information 2_1"/>
    <protectedRange sqref="K16:K23" name="Admix_Optional"/>
  </protectedRanges>
  <mergeCells count="75">
    <mergeCell ref="G3:H3"/>
    <mergeCell ref="G4:H4"/>
    <mergeCell ref="G5:H5"/>
    <mergeCell ref="E32:E34"/>
    <mergeCell ref="E35:E37"/>
    <mergeCell ref="B32:B34"/>
    <mergeCell ref="B35:B37"/>
    <mergeCell ref="A19:E19"/>
    <mergeCell ref="F19:G19"/>
    <mergeCell ref="A5:B5"/>
    <mergeCell ref="D52:I52"/>
    <mergeCell ref="E51:I51"/>
    <mergeCell ref="I42:K43"/>
    <mergeCell ref="C5:D5"/>
    <mergeCell ref="A42:D42"/>
    <mergeCell ref="F32:K41"/>
    <mergeCell ref="A13:B13"/>
    <mergeCell ref="F42:G43"/>
    <mergeCell ref="A17:E17"/>
    <mergeCell ref="A18:E18"/>
    <mergeCell ref="A16:E16"/>
    <mergeCell ref="A9:B9"/>
    <mergeCell ref="A10:B10"/>
    <mergeCell ref="A11:B11"/>
    <mergeCell ref="A12:B12"/>
    <mergeCell ref="C13:D13"/>
    <mergeCell ref="C11:D11"/>
    <mergeCell ref="A4:B4"/>
    <mergeCell ref="C4:D4"/>
    <mergeCell ref="C12:D12"/>
    <mergeCell ref="F7:G7"/>
    <mergeCell ref="C8:D8"/>
    <mergeCell ref="C9:D9"/>
    <mergeCell ref="C10:D10"/>
    <mergeCell ref="A8:B8"/>
    <mergeCell ref="F15:G15"/>
    <mergeCell ref="F16:G16"/>
    <mergeCell ref="F17:G17"/>
    <mergeCell ref="F18:G18"/>
    <mergeCell ref="I4:K4"/>
    <mergeCell ref="I5:K5"/>
    <mergeCell ref="A20:E20"/>
    <mergeCell ref="F21:G21"/>
    <mergeCell ref="F22:G22"/>
    <mergeCell ref="F23:G23"/>
    <mergeCell ref="A21:E21"/>
    <mergeCell ref="A22:E22"/>
    <mergeCell ref="A23:E23"/>
    <mergeCell ref="F20:G20"/>
    <mergeCell ref="B31:D31"/>
    <mergeCell ref="B38:B40"/>
    <mergeCell ref="E38:E40"/>
    <mergeCell ref="A46:C46"/>
    <mergeCell ref="D46:E46"/>
    <mergeCell ref="F46:G46"/>
    <mergeCell ref="I46:J46"/>
    <mergeCell ref="A45:C45"/>
    <mergeCell ref="D45:E45"/>
    <mergeCell ref="F45:G45"/>
    <mergeCell ref="I45:J45"/>
    <mergeCell ref="F1:G1"/>
    <mergeCell ref="A2:B2"/>
    <mergeCell ref="C3:E3"/>
    <mergeCell ref="I2:K2"/>
    <mergeCell ref="I3:K3"/>
    <mergeCell ref="C2:E2"/>
    <mergeCell ref="A3:B3"/>
    <mergeCell ref="G2:H2"/>
    <mergeCell ref="W33:AB40"/>
    <mergeCell ref="W9:AB10"/>
    <mergeCell ref="W11:AB12"/>
    <mergeCell ref="W16:AB23"/>
    <mergeCell ref="W27:AB29"/>
    <mergeCell ref="W25:AB25"/>
    <mergeCell ref="W26:AB26"/>
  </mergeCells>
  <conditionalFormatting sqref="G9:G12">
    <cfRule type="cellIs" priority="30" dxfId="10" operator="notBetween" stopIfTrue="1">
      <formula>$I$7</formula>
      <formula>$K$7</formula>
    </cfRule>
  </conditionalFormatting>
  <conditionalFormatting sqref="K10 K12">
    <cfRule type="cellIs" priority="31" dxfId="11" operator="equal" stopIfTrue="1">
      <formula>$K$9</formula>
    </cfRule>
  </conditionalFormatting>
  <conditionalFormatting sqref="K24:K25">
    <cfRule type="cellIs" priority="32" dxfId="10" operator="equal" stopIfTrue="1">
      <formula>"ERROR"</formula>
    </cfRule>
  </conditionalFormatting>
  <conditionalFormatting sqref="C34 C37 C40 A34">
    <cfRule type="cellIs" priority="26" dxfId="13" operator="equal" stopIfTrue="1">
      <formula>0</formula>
    </cfRule>
    <cfRule type="cellIs" priority="27" dxfId="1" operator="equal" stopIfTrue="1">
      <formula>0</formula>
    </cfRule>
    <cfRule type="containsText" priority="28" dxfId="0" operator="containsText" stopIfTrue="1" text="&quot;&quot;">
      <formula>NOT(ISERROR(SEARCH("""""",A34)))</formula>
    </cfRule>
  </conditionalFormatting>
  <conditionalFormatting sqref="K11">
    <cfRule type="cellIs" priority="7" dxfId="1" operator="lessThan" stopIfTrue="1">
      <formula>0.55</formula>
    </cfRule>
  </conditionalFormatting>
  <conditionalFormatting sqref="A37">
    <cfRule type="cellIs" priority="4" dxfId="13" operator="equal" stopIfTrue="1">
      <formula>0</formula>
    </cfRule>
    <cfRule type="cellIs" priority="5" dxfId="1" operator="equal" stopIfTrue="1">
      <formula>0</formula>
    </cfRule>
    <cfRule type="containsText" priority="6" dxfId="0" operator="containsText" stopIfTrue="1" text="&quot;&quot;">
      <formula>NOT(ISERROR(SEARCH("""""",A37)))</formula>
    </cfRule>
  </conditionalFormatting>
  <conditionalFormatting sqref="A40">
    <cfRule type="cellIs" priority="1" dxfId="13" operator="equal" stopIfTrue="1">
      <formula>0</formula>
    </cfRule>
    <cfRule type="cellIs" priority="2" dxfId="1" operator="equal" stopIfTrue="1">
      <formula>0</formula>
    </cfRule>
    <cfRule type="containsText" priority="3" dxfId="0" operator="containsText" stopIfTrue="1" text="&quot;&quot;">
      <formula>NOT(ISERROR(SEARCH("""""",A40)))</formula>
    </cfRule>
  </conditionalFormatting>
  <dataValidations count="10">
    <dataValidation type="list" allowBlank="1" showInputMessage="1" showErrorMessage="1" sqref="C5">
      <formula1>$AK$2:$AK$5</formula1>
    </dataValidation>
    <dataValidation type="list" allowBlank="1" showInputMessage="1" showErrorMessage="1" sqref="F9 F12">
      <formula1>$AL$2:$AL$12</formula1>
    </dataValidation>
    <dataValidation type="list" allowBlank="1" showInputMessage="1" showErrorMessage="1" sqref="F10">
      <formula1>$AL$2:$AL$11</formula1>
    </dataValidation>
    <dataValidation type="list" allowBlank="1" showInputMessage="1" showErrorMessage="1" sqref="E9">
      <formula1>$AM$2:$AM$11</formula1>
    </dataValidation>
    <dataValidation type="list" allowBlank="1" showInputMessage="1" showErrorMessage="1" sqref="E10">
      <formula1>$AN$2:$AN$5</formula1>
    </dataValidation>
    <dataValidation type="list" allowBlank="1" showInputMessage="1" showErrorMessage="1" sqref="A10:B10">
      <formula1>$AO$2:$AO$4</formula1>
    </dataValidation>
    <dataValidation type="list" allowBlank="1" showInputMessage="1" showErrorMessage="1" sqref="E11">
      <formula1>$AP$2:$AP$17</formula1>
    </dataValidation>
    <dataValidation type="list" allowBlank="1" showInputMessage="1" showErrorMessage="1" sqref="F11 E12">
      <formula1>$AL$2:$AL$8</formula1>
    </dataValidation>
    <dataValidation type="list" allowBlank="1" showInputMessage="1" showErrorMessage="1" sqref="K16:K23">
      <formula1>$AQ$2:$AQ$3</formula1>
    </dataValidation>
    <dataValidation type="list" allowBlank="1" showInputMessage="1" showErrorMessage="1" sqref="C29">
      <formula1>"6 in,4 in,"</formula1>
    </dataValidation>
  </dataValidations>
  <printOptions/>
  <pageMargins left="0.75" right="0.75" top="1" bottom="1" header="0.5" footer="0.5"/>
  <pageSetup horizontalDpi="600" verticalDpi="600" orientation="portrait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"/>
  <sheetViews>
    <sheetView zoomScalePageLayoutView="0" workbookViewId="0" topLeftCell="B1">
      <selection activeCell="B1" sqref="B1"/>
    </sheetView>
  </sheetViews>
  <sheetFormatPr defaultColWidth="9.140625" defaultRowHeight="12.75"/>
  <cols>
    <col min="2" max="2" width="8.140625" style="0" bestFit="1" customWidth="1"/>
    <col min="3" max="3" width="8.28125" style="0" bestFit="1" customWidth="1"/>
    <col min="4" max="4" width="5.00390625" style="0" bestFit="1" customWidth="1"/>
    <col min="5" max="5" width="4.7109375" style="0" bestFit="1" customWidth="1"/>
    <col min="6" max="6" width="6.00390625" style="0" bestFit="1" customWidth="1"/>
    <col min="7" max="11" width="4.28125" style="0" bestFit="1" customWidth="1"/>
    <col min="13" max="14" width="7.421875" style="0" bestFit="1" customWidth="1"/>
    <col min="15" max="15" width="8.00390625" style="0" bestFit="1" customWidth="1"/>
    <col min="16" max="16" width="9.8515625" style="0" bestFit="1" customWidth="1"/>
    <col min="17" max="17" width="10.421875" style="0" bestFit="1" customWidth="1"/>
    <col min="18" max="18" width="12.57421875" style="0" bestFit="1" customWidth="1"/>
    <col min="19" max="19" width="17.140625" style="0" customWidth="1"/>
    <col min="20" max="20" width="5.57421875" style="0" bestFit="1" customWidth="1"/>
    <col min="21" max="21" width="20.421875" style="0" customWidth="1"/>
    <col min="22" max="22" width="6.421875" style="0" customWidth="1"/>
    <col min="23" max="23" width="18.28125" style="0" customWidth="1"/>
    <col min="65" max="65" width="13.421875" style="0" bestFit="1" customWidth="1"/>
  </cols>
  <sheetData>
    <row r="1" spans="1:65" ht="12.75">
      <c r="A1" t="s">
        <v>115</v>
      </c>
      <c r="B1" t="s">
        <v>76</v>
      </c>
      <c r="C1" t="s">
        <v>77</v>
      </c>
      <c r="D1" t="s">
        <v>78</v>
      </c>
      <c r="E1" t="s">
        <v>54</v>
      </c>
      <c r="F1" t="s">
        <v>79</v>
      </c>
      <c r="G1" t="s">
        <v>83</v>
      </c>
      <c r="H1" t="s">
        <v>84</v>
      </c>
      <c r="I1" t="s">
        <v>80</v>
      </c>
      <c r="J1" t="s">
        <v>81</v>
      </c>
      <c r="K1" t="s">
        <v>82</v>
      </c>
      <c r="L1" t="s">
        <v>8</v>
      </c>
      <c r="M1" t="s">
        <v>85</v>
      </c>
      <c r="N1" t="s">
        <v>86</v>
      </c>
      <c r="O1" t="s">
        <v>87</v>
      </c>
      <c r="P1" t="s">
        <v>88</v>
      </c>
      <c r="Q1" t="s">
        <v>89</v>
      </c>
      <c r="R1" t="s">
        <v>90</v>
      </c>
      <c r="S1" t="s">
        <v>91</v>
      </c>
      <c r="T1" t="s">
        <v>92</v>
      </c>
      <c r="U1" t="s">
        <v>93</v>
      </c>
      <c r="V1" t="s">
        <v>94</v>
      </c>
      <c r="W1" t="s">
        <v>95</v>
      </c>
      <c r="X1" t="s">
        <v>96</v>
      </c>
      <c r="Y1" t="s">
        <v>95</v>
      </c>
      <c r="Z1" t="s">
        <v>96</v>
      </c>
      <c r="AA1" t="s">
        <v>20</v>
      </c>
      <c r="AB1" t="s">
        <v>97</v>
      </c>
      <c r="AC1" t="s">
        <v>20</v>
      </c>
      <c r="AD1" t="s">
        <v>97</v>
      </c>
      <c r="AE1" t="s">
        <v>121</v>
      </c>
      <c r="AF1" t="s">
        <v>122</v>
      </c>
      <c r="AG1" t="s">
        <v>24</v>
      </c>
      <c r="AH1" t="s">
        <v>98</v>
      </c>
      <c r="AI1" t="s">
        <v>99</v>
      </c>
      <c r="AJ1" t="s">
        <v>100</v>
      </c>
      <c r="AK1" t="s">
        <v>101</v>
      </c>
      <c r="AL1" t="s">
        <v>102</v>
      </c>
      <c r="AM1" t="s">
        <v>103</v>
      </c>
      <c r="AN1" t="s">
        <v>100</v>
      </c>
      <c r="AO1" t="s">
        <v>101</v>
      </c>
      <c r="AP1" t="s">
        <v>102</v>
      </c>
      <c r="AQ1" t="s">
        <v>104</v>
      </c>
      <c r="AR1" t="s">
        <v>100</v>
      </c>
      <c r="AS1" t="s">
        <v>101</v>
      </c>
      <c r="AT1" t="s">
        <v>102</v>
      </c>
      <c r="AU1" t="s">
        <v>105</v>
      </c>
      <c r="AV1" t="s">
        <v>100</v>
      </c>
      <c r="AW1" t="s">
        <v>101</v>
      </c>
      <c r="AX1" t="s">
        <v>102</v>
      </c>
      <c r="AY1" t="s">
        <v>106</v>
      </c>
      <c r="AZ1" t="s">
        <v>100</v>
      </c>
      <c r="BA1" t="s">
        <v>101</v>
      </c>
      <c r="BB1" t="s">
        <v>102</v>
      </c>
      <c r="BC1" t="s">
        <v>107</v>
      </c>
      <c r="BD1" t="s">
        <v>100</v>
      </c>
      <c r="BE1" t="s">
        <v>101</v>
      </c>
      <c r="BF1" t="s">
        <v>102</v>
      </c>
      <c r="BG1" t="s">
        <v>108</v>
      </c>
      <c r="BH1" t="s">
        <v>109</v>
      </c>
      <c r="BI1" t="s">
        <v>110</v>
      </c>
      <c r="BJ1" t="s">
        <v>111</v>
      </c>
      <c r="BK1" t="s">
        <v>112</v>
      </c>
      <c r="BL1" t="s">
        <v>113</v>
      </c>
      <c r="BM1" t="s">
        <v>114</v>
      </c>
    </row>
    <row r="2" spans="2:65" ht="12.75">
      <c r="B2">
        <f>'Mix Design Sheet'!C4</f>
        <v>0</v>
      </c>
      <c r="C2">
        <f>'Mix Design Sheet'!C3</f>
        <v>0</v>
      </c>
      <c r="D2" t="e">
        <f>'Mix Design Sheet'!I27</f>
        <v>#DIV/0!</v>
      </c>
      <c r="E2">
        <f>IF('Mix Design Sheet'!A10="Slag",'Mix Design Sheet'!G10,"")</f>
      </c>
      <c r="F2">
        <f>IF('Mix Design Sheet'!A10="Fly Ash",'Mix Design Sheet'!I10,"")</f>
      </c>
      <c r="G2" t="str">
        <f>IF('Mix Design Sheet'!$I$25=6.5,6.5-1.5,"Check")</f>
        <v>Check</v>
      </c>
      <c r="H2" t="str">
        <f>IF('Mix Design Sheet'!$I$25=6.5,6.5-0.5,"Check")</f>
        <v>Check</v>
      </c>
      <c r="I2" t="str">
        <f>IF('Mix Design Sheet'!$I$25=6.5,6.5,"Check")</f>
        <v>Check</v>
      </c>
      <c r="J2" t="str">
        <f>IF('Mix Design Sheet'!$I$25=6.5,6.5+0.5,"Check")</f>
        <v>Check</v>
      </c>
      <c r="K2" t="str">
        <f>IF('Mix Design Sheet'!$I$25=6.5,6.5+1.5,"Check")</f>
        <v>Check</v>
      </c>
      <c r="L2">
        <f>'Mix Design Sheet'!I25</f>
        <v>0</v>
      </c>
      <c r="M2" t="str">
        <f>IF('Mix Design Sheet'!$I$25=6.5,6.5-1.5,"Check")</f>
        <v>Check</v>
      </c>
      <c r="N2" t="str">
        <f>IF('Mix Design Sheet'!$I$25=6.5,6.5+1.5,"Check")</f>
        <v>Check</v>
      </c>
      <c r="O2">
        <f>'Mix Design Sheet'!C5</f>
        <v>0</v>
      </c>
      <c r="P2" t="e">
        <f>'Mix Design Sheet'!$I$24-1</f>
        <v>#VALUE!</v>
      </c>
      <c r="Q2" t="e">
        <f>'Mix Design Sheet'!$I$24+1</f>
        <v>#VALUE!</v>
      </c>
      <c r="R2" t="str">
        <f>'Mix Design Sheet'!I24</f>
        <v>+/-</v>
      </c>
      <c r="S2">
        <f>'Mix Design Sheet'!C11</f>
        <v>0</v>
      </c>
      <c r="T2">
        <f>'Mix Design Sheet'!I11</f>
        <v>0</v>
      </c>
      <c r="W2">
        <f>'Mix Design Sheet'!C12</f>
        <v>0</v>
      </c>
      <c r="X2">
        <f>'Mix Design Sheet'!I12</f>
        <v>0</v>
      </c>
      <c r="AB2">
        <f>'Mix Design Sheet'!I9</f>
        <v>0</v>
      </c>
      <c r="AD2">
        <f>'Mix Design Sheet'!I10</f>
        <v>0</v>
      </c>
      <c r="AG2" s="34">
        <f>'Mix Design Sheet'!K13</f>
        <v>0</v>
      </c>
      <c r="AH2" s="34">
        <f>'Mix Design Sheet'!I26</f>
        <v>0</v>
      </c>
      <c r="AI2">
        <f>'Mix Design Sheet'!A16</f>
        <v>0</v>
      </c>
      <c r="AJ2" t="str">
        <f>'Mix Design Sheet'!I16</f>
        <v>X(Y - Z)</v>
      </c>
      <c r="AK2">
        <f>'Mix Design Sheet'!K16</f>
        <v>0</v>
      </c>
      <c r="AL2" t="str">
        <f>'Mix Design Sheet'!$J$16</f>
        <v>oz/cwt</v>
      </c>
      <c r="AM2">
        <f>'Mix Design Sheet'!A17</f>
        <v>0</v>
      </c>
      <c r="AN2">
        <f>'Mix Design Sheet'!I17</f>
        <v>0</v>
      </c>
      <c r="AO2">
        <f>'Mix Design Sheet'!K17</f>
        <v>0</v>
      </c>
      <c r="AP2" t="str">
        <f>'Mix Design Sheet'!$J$16</f>
        <v>oz/cwt</v>
      </c>
      <c r="AQ2">
        <f>'Mix Design Sheet'!A18</f>
        <v>0</v>
      </c>
      <c r="AR2">
        <f>'Mix Design Sheet'!I18</f>
        <v>0</v>
      </c>
      <c r="AS2">
        <f>'Mix Design Sheet'!K18</f>
        <v>0</v>
      </c>
      <c r="AT2" t="str">
        <f>'Mix Design Sheet'!$J$16</f>
        <v>oz/cwt</v>
      </c>
      <c r="AU2">
        <f>'Mix Design Sheet'!A19</f>
        <v>0</v>
      </c>
      <c r="AV2">
        <f>'Mix Design Sheet'!I19</f>
        <v>0</v>
      </c>
      <c r="AW2">
        <f>'Mix Design Sheet'!K19</f>
        <v>0</v>
      </c>
      <c r="AX2" t="str">
        <f>'Mix Design Sheet'!$J$16</f>
        <v>oz/cwt</v>
      </c>
      <c r="AY2">
        <f>'Mix Design Sheet'!A20</f>
        <v>0</v>
      </c>
      <c r="AZ2">
        <f>'Mix Design Sheet'!I20</f>
        <v>0</v>
      </c>
      <c r="BA2">
        <f>'Mix Design Sheet'!K20</f>
        <v>0</v>
      </c>
      <c r="BB2" t="str">
        <f>'Mix Design Sheet'!$J$16</f>
        <v>oz/cwt</v>
      </c>
      <c r="BC2">
        <f>'Mix Design Sheet'!A21</f>
        <v>0</v>
      </c>
      <c r="BD2">
        <f>'Mix Design Sheet'!I21</f>
        <v>0</v>
      </c>
      <c r="BE2">
        <f>'Mix Design Sheet'!K21</f>
        <v>0</v>
      </c>
      <c r="BF2" t="str">
        <f>'Mix Design Sheet'!$J$16</f>
        <v>oz/cwt</v>
      </c>
      <c r="BG2" s="34">
        <f>'Mix Design Sheet'!D54</f>
        <v>0</v>
      </c>
      <c r="BH2" s="34">
        <f>'Mix Design Sheet'!E54</f>
        <v>0</v>
      </c>
      <c r="BI2" s="34">
        <f>'Mix Design Sheet'!F54</f>
        <v>0</v>
      </c>
      <c r="BJ2" s="34">
        <f>'Mix Design Sheet'!G54</f>
        <v>0</v>
      </c>
      <c r="BK2" s="34">
        <f>'Mix Design Sheet'!I54</f>
        <v>0</v>
      </c>
      <c r="BM2">
        <f>'Mix Design Sheet'!I3</f>
        <v>0</v>
      </c>
    </row>
  </sheetData>
  <sheetProtection password="C08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Butler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Butler Associates, Inc.</dc:creator>
  <cp:keywords/>
  <dc:description/>
  <cp:lastModifiedBy>Dustin Tregnago</cp:lastModifiedBy>
  <cp:lastPrinted>2008-02-06T18:16:42Z</cp:lastPrinted>
  <dcterms:created xsi:type="dcterms:W3CDTF">2007-03-07T15:12:37Z</dcterms:created>
  <dcterms:modified xsi:type="dcterms:W3CDTF">2013-11-21T20:29:25Z</dcterms:modified>
  <cp:category/>
  <cp:version/>
  <cp:contentType/>
  <cp:contentStatus/>
</cp:coreProperties>
</file>